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Расчет" sheetId="1" r:id="rId1"/>
    <sheet name="Сравнение" sheetId="2" r:id="rId2"/>
  </sheets>
  <definedNames/>
  <calcPr fullCalcOnLoad="1"/>
</workbook>
</file>

<file path=xl/sharedStrings.xml><?xml version="1.0" encoding="utf-8"?>
<sst xmlns="http://schemas.openxmlformats.org/spreadsheetml/2006/main" count="173" uniqueCount="49">
  <si>
    <t>ПР и ВЮС Красноярск 3гр</t>
  </si>
  <si>
    <t>ЧР Воронеж</t>
  </si>
  <si>
    <t>ПР и ВЮС Пермь 2 гр</t>
  </si>
  <si>
    <t>ВЮС Калининград ТР 4 гр</t>
  </si>
  <si>
    <t>ПР Калининград Б 3 гр</t>
  </si>
  <si>
    <t>ВС Екатеринбруг ТР</t>
  </si>
  <si>
    <t>Трудность</t>
  </si>
  <si>
    <t>Кол-во трасс</t>
  </si>
  <si>
    <t>Стоимость</t>
  </si>
  <si>
    <t>Квал</t>
  </si>
  <si>
    <t>Полуфинал</t>
  </si>
  <si>
    <t>Финал</t>
  </si>
  <si>
    <t>Всего за трассы</t>
  </si>
  <si>
    <t>Премия</t>
  </si>
  <si>
    <t>Главному</t>
  </si>
  <si>
    <t>Итого</t>
  </si>
  <si>
    <t>Боулдеринг</t>
  </si>
  <si>
    <t>Кол-во дней</t>
  </si>
  <si>
    <t>Накрутка</t>
  </si>
  <si>
    <t>Соревнования</t>
  </si>
  <si>
    <t>Увеличение, %</t>
  </si>
  <si>
    <t>трудность</t>
  </si>
  <si>
    <t>болдер</t>
  </si>
  <si>
    <t>квал</t>
  </si>
  <si>
    <t>пф</t>
  </si>
  <si>
    <t>ф</t>
  </si>
  <si>
    <t>2019 по трассам</t>
  </si>
  <si>
    <t>2020 по дням</t>
  </si>
  <si>
    <t>трудность+20%</t>
  </si>
  <si>
    <t>болдер+20%</t>
  </si>
  <si>
    <t>Зп в день подготовки</t>
  </si>
  <si>
    <t>Зп в день сорев</t>
  </si>
  <si>
    <t>ВС Москва Б+Мн</t>
  </si>
  <si>
    <t>Болдер</t>
  </si>
  <si>
    <t>Повышение 20%</t>
  </si>
  <si>
    <t xml:space="preserve"> </t>
  </si>
  <si>
    <t xml:space="preserve">2020 Повышение 20% </t>
  </si>
  <si>
    <t>Стоимость (K=1.5)</t>
  </si>
  <si>
    <t>Коэффициент 1.5 из-за отсутствия вышки</t>
  </si>
  <si>
    <t>Скорость</t>
  </si>
  <si>
    <t>Трассы</t>
  </si>
  <si>
    <t>Скорость+20%</t>
  </si>
  <si>
    <t>ВЮС Калининград ТР 4 гр+ Б 3 гр</t>
  </si>
  <si>
    <t>Тр+Б</t>
  </si>
  <si>
    <t>Предложение по расчёту зарплаты подготовщиков трасс на всероссийских соревнованиях 2020 года</t>
  </si>
  <si>
    <t xml:space="preserve">Исполнитель </t>
  </si>
  <si>
    <t>Председатель КПТ</t>
  </si>
  <si>
    <t>А.Галямова</t>
  </si>
  <si>
    <t>ВСЕГО: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</si>
</sst>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0"/>
      <color rgb="FF000000"/>
      <name val="Arial"/>
      <family val="0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u val="single"/>
      <sz val="12"/>
      <color indexed="8"/>
      <name val="Calibri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5" borderId="10" xfId="0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6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3" fillId="3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3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3" fillId="0" borderId="17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6" fillId="3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8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5" sqref="C75"/>
    </sheetView>
  </sheetViews>
  <sheetFormatPr defaultColWidth="14.421875" defaultRowHeight="15.75" customHeight="1"/>
  <cols>
    <col min="1" max="1" width="20.28125" style="0" bestFit="1" customWidth="1"/>
    <col min="2" max="2" width="11.8515625" style="0" bestFit="1" customWidth="1"/>
    <col min="3" max="3" width="16.421875" style="0" bestFit="1" customWidth="1"/>
    <col min="4" max="4" width="11.8515625" style="0" bestFit="1" customWidth="1"/>
    <col min="5" max="5" width="14.140625" style="0" bestFit="1" customWidth="1"/>
    <col min="6" max="6" width="12.00390625" style="0" bestFit="1" customWidth="1"/>
    <col min="7" max="7" width="13.28125" style="0" bestFit="1" customWidth="1"/>
    <col min="8" max="10" width="14.421875" style="0" customWidth="1"/>
    <col min="11" max="11" width="17.28125" style="0" customWidth="1"/>
  </cols>
  <sheetData>
    <row r="1" spans="2:14" ht="45.75" customHeight="1">
      <c r="B1" s="65" t="s">
        <v>44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4" ht="15.75" customHeight="1">
      <c r="A4" s="15" t="s">
        <v>26</v>
      </c>
    </row>
    <row r="5" spans="1:15" ht="15.75">
      <c r="A5" s="17"/>
      <c r="B5" s="66" t="s">
        <v>2</v>
      </c>
      <c r="C5" s="67"/>
      <c r="D5" s="68" t="s">
        <v>1</v>
      </c>
      <c r="E5" s="69"/>
      <c r="F5" s="68" t="s">
        <v>0</v>
      </c>
      <c r="G5" s="68"/>
      <c r="H5" s="68" t="s">
        <v>32</v>
      </c>
      <c r="I5" s="68"/>
      <c r="J5" s="66" t="s">
        <v>3</v>
      </c>
      <c r="K5" s="66"/>
      <c r="L5" s="68" t="s">
        <v>4</v>
      </c>
      <c r="M5" s="68"/>
      <c r="N5" s="66" t="s">
        <v>5</v>
      </c>
      <c r="O5" s="66"/>
    </row>
    <row r="6" spans="1:15" ht="15.75">
      <c r="A6" s="27" t="s">
        <v>6</v>
      </c>
      <c r="B6" s="18" t="s">
        <v>7</v>
      </c>
      <c r="C6" s="18" t="s">
        <v>37</v>
      </c>
      <c r="D6" s="17" t="s">
        <v>7</v>
      </c>
      <c r="E6" s="17" t="s">
        <v>8</v>
      </c>
      <c r="F6" s="17" t="s">
        <v>7</v>
      </c>
      <c r="G6" s="17" t="s">
        <v>8</v>
      </c>
      <c r="H6" s="17" t="s">
        <v>7</v>
      </c>
      <c r="I6" s="17" t="s">
        <v>8</v>
      </c>
      <c r="J6" s="18" t="s">
        <v>7</v>
      </c>
      <c r="K6" s="18" t="s">
        <v>37</v>
      </c>
      <c r="L6" s="17" t="s">
        <v>7</v>
      </c>
      <c r="M6" s="17" t="s">
        <v>8</v>
      </c>
      <c r="N6" s="18" t="s">
        <v>7</v>
      </c>
      <c r="O6" s="18" t="s">
        <v>37</v>
      </c>
    </row>
    <row r="7" spans="1:15" ht="15.75">
      <c r="A7" s="17" t="s">
        <v>9</v>
      </c>
      <c r="B7" s="17">
        <v>8</v>
      </c>
      <c r="C7" s="17">
        <f>B7*2600*1.5</f>
        <v>31200</v>
      </c>
      <c r="D7" s="17">
        <v>4</v>
      </c>
      <c r="E7" s="17">
        <f>D7*2600</f>
        <v>10400</v>
      </c>
      <c r="F7" s="17">
        <v>12</v>
      </c>
      <c r="G7" s="17">
        <f>F7*2600</f>
        <v>31200</v>
      </c>
      <c r="H7" s="17">
        <v>2</v>
      </c>
      <c r="I7" s="17">
        <f>H7*2600</f>
        <v>5200</v>
      </c>
      <c r="J7" s="17">
        <v>16</v>
      </c>
      <c r="K7" s="17">
        <f>J7*2600*1.5</f>
        <v>62400</v>
      </c>
      <c r="L7" s="17"/>
      <c r="M7" s="17">
        <f>L7*2600</f>
        <v>0</v>
      </c>
      <c r="N7" s="17">
        <v>4</v>
      </c>
      <c r="O7" s="17">
        <f>N7*2600*1.5</f>
        <v>15600</v>
      </c>
    </row>
    <row r="8" spans="1:15" ht="15.75">
      <c r="A8" s="17" t="s">
        <v>10</v>
      </c>
      <c r="B8" s="17">
        <v>0</v>
      </c>
      <c r="C8" s="17">
        <f>B8*3900</f>
        <v>0</v>
      </c>
      <c r="D8" s="17">
        <v>2</v>
      </c>
      <c r="E8" s="17">
        <f>D8*3900</f>
        <v>7800</v>
      </c>
      <c r="F8" s="17">
        <v>0</v>
      </c>
      <c r="G8" s="17">
        <f>F8*3900</f>
        <v>0</v>
      </c>
      <c r="H8" s="17"/>
      <c r="I8" s="17">
        <f>H8*3900</f>
        <v>0</v>
      </c>
      <c r="J8" s="17">
        <v>0</v>
      </c>
      <c r="K8" s="17">
        <f>J8*3900</f>
        <v>0</v>
      </c>
      <c r="L8" s="17"/>
      <c r="M8" s="17">
        <f>L8*3900</f>
        <v>0</v>
      </c>
      <c r="N8" s="17">
        <v>2</v>
      </c>
      <c r="O8" s="17">
        <f>N8*3900*1.5</f>
        <v>11700</v>
      </c>
    </row>
    <row r="9" spans="1:15" ht="15.75">
      <c r="A9" s="17" t="s">
        <v>11</v>
      </c>
      <c r="B9" s="17">
        <v>4</v>
      </c>
      <c r="C9" s="17">
        <f>B9*5200*1.5</f>
        <v>31200</v>
      </c>
      <c r="D9" s="17">
        <v>2</v>
      </c>
      <c r="E9" s="17">
        <f>D9*5200</f>
        <v>10400</v>
      </c>
      <c r="F9" s="17">
        <v>6</v>
      </c>
      <c r="G9" s="17">
        <f>F9*5200</f>
        <v>31200</v>
      </c>
      <c r="H9" s="17">
        <v>2</v>
      </c>
      <c r="I9" s="17">
        <f>H9*5200</f>
        <v>10400</v>
      </c>
      <c r="J9" s="17">
        <v>8</v>
      </c>
      <c r="K9" s="17">
        <f>J9*5200*1.5</f>
        <v>62400</v>
      </c>
      <c r="L9" s="17"/>
      <c r="M9" s="17">
        <f>L9*5200</f>
        <v>0</v>
      </c>
      <c r="N9" s="17">
        <v>2</v>
      </c>
      <c r="O9" s="17">
        <f>N9*5200*1.5</f>
        <v>15600</v>
      </c>
    </row>
    <row r="10" spans="1:15" ht="15.75">
      <c r="A10" s="17" t="s">
        <v>12</v>
      </c>
      <c r="B10" s="17"/>
      <c r="C10" s="17">
        <f>SUM(C7:C9)</f>
        <v>62400</v>
      </c>
      <c r="D10" s="17"/>
      <c r="E10" s="17">
        <f>SUM(E7:E9)</f>
        <v>28600</v>
      </c>
      <c r="F10" s="17"/>
      <c r="G10" s="17">
        <f>SUM(G7:G9)</f>
        <v>62400</v>
      </c>
      <c r="H10" s="17"/>
      <c r="I10" s="17">
        <f>SUM(I7:I9)</f>
        <v>15600</v>
      </c>
      <c r="J10" s="17"/>
      <c r="K10" s="17">
        <f>SUM(K7:K9)</f>
        <v>124800</v>
      </c>
      <c r="L10" s="17"/>
      <c r="M10" s="17">
        <f>SUM(M7:M9)</f>
        <v>0</v>
      </c>
      <c r="N10" s="17"/>
      <c r="O10" s="17">
        <f>SUM(O7:O9)</f>
        <v>42900</v>
      </c>
    </row>
    <row r="11" spans="1:15" ht="15.75">
      <c r="A11" s="17" t="s">
        <v>13</v>
      </c>
      <c r="B11" s="17"/>
      <c r="C11" s="17">
        <f>C10*25%</f>
        <v>15600</v>
      </c>
      <c r="D11" s="17"/>
      <c r="E11" s="17">
        <f>E10*25%</f>
        <v>7150</v>
      </c>
      <c r="F11" s="17"/>
      <c r="G11" s="17">
        <f>G10*25%</f>
        <v>15600</v>
      </c>
      <c r="H11" s="17"/>
      <c r="I11" s="17">
        <f>I10*25%</f>
        <v>3900</v>
      </c>
      <c r="J11" s="17"/>
      <c r="K11" s="17">
        <f>K10*25%</f>
        <v>31200</v>
      </c>
      <c r="L11" s="17"/>
      <c r="M11" s="17">
        <f>M10*25%</f>
        <v>0</v>
      </c>
      <c r="N11" s="17"/>
      <c r="O11" s="17">
        <f>O10*25%</f>
        <v>10725</v>
      </c>
    </row>
    <row r="12" spans="1:15" ht="15.75">
      <c r="A12" s="45" t="s">
        <v>14</v>
      </c>
      <c r="B12" s="45"/>
      <c r="C12" s="45">
        <v>10000</v>
      </c>
      <c r="D12" s="45"/>
      <c r="E12" s="45">
        <v>7000</v>
      </c>
      <c r="F12" s="45"/>
      <c r="G12" s="45">
        <v>7000</v>
      </c>
      <c r="H12" s="45"/>
      <c r="I12" s="45"/>
      <c r="J12" s="45"/>
      <c r="K12" s="45">
        <v>7000</v>
      </c>
      <c r="L12" s="45"/>
      <c r="M12" s="45"/>
      <c r="N12" s="45"/>
      <c r="O12" s="45">
        <v>7000</v>
      </c>
    </row>
    <row r="13" spans="1:16" ht="15.75">
      <c r="A13" s="27" t="s">
        <v>15</v>
      </c>
      <c r="B13" s="27"/>
      <c r="C13" s="27">
        <f>SUM(C10:C12)</f>
        <v>88000</v>
      </c>
      <c r="D13" s="27"/>
      <c r="E13" s="27">
        <f>SUM(E10:E12)</f>
        <v>42750</v>
      </c>
      <c r="F13" s="27"/>
      <c r="G13" s="27">
        <f>SUM(G10:G12)</f>
        <v>85000</v>
      </c>
      <c r="H13" s="27"/>
      <c r="I13" s="27">
        <f>SUM(I10:I12)</f>
        <v>19500</v>
      </c>
      <c r="J13" s="27"/>
      <c r="K13" s="27">
        <f>SUM(K10:K12)</f>
        <v>163000</v>
      </c>
      <c r="L13" s="27"/>
      <c r="M13" s="27">
        <f>SUM(M10:M12)</f>
        <v>0</v>
      </c>
      <c r="N13" s="27"/>
      <c r="O13" s="27">
        <f>SUM(O10:O12)</f>
        <v>60625</v>
      </c>
      <c r="P13" s="47">
        <f>SUM(B13:O13)</f>
        <v>458875</v>
      </c>
    </row>
    <row r="14" spans="1:15" ht="15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5.75">
      <c r="A15" s="28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.75">
      <c r="A16" s="17" t="s">
        <v>9</v>
      </c>
      <c r="B16" s="17">
        <v>24</v>
      </c>
      <c r="C16" s="17">
        <f>B16*1000</f>
        <v>24000</v>
      </c>
      <c r="D16" s="17">
        <v>20</v>
      </c>
      <c r="E16" s="17">
        <f>D16*1000</f>
        <v>20000</v>
      </c>
      <c r="F16" s="17">
        <v>30</v>
      </c>
      <c r="G16" s="17">
        <f>F16*1000</f>
        <v>30000</v>
      </c>
      <c r="H16" s="17">
        <v>28</v>
      </c>
      <c r="I16" s="17">
        <f>H16*1000</f>
        <v>28000</v>
      </c>
      <c r="J16" s="17"/>
      <c r="K16" s="17">
        <f>J16*1000</f>
        <v>0</v>
      </c>
      <c r="L16" s="17">
        <v>30</v>
      </c>
      <c r="M16" s="17">
        <f>L16*1000</f>
        <v>30000</v>
      </c>
      <c r="N16" s="17"/>
      <c r="O16" s="17">
        <f>N16*1000</f>
        <v>0</v>
      </c>
    </row>
    <row r="17" spans="1:15" ht="15.75">
      <c r="A17" s="17" t="s">
        <v>10</v>
      </c>
      <c r="B17" s="17">
        <v>0</v>
      </c>
      <c r="C17" s="17">
        <f>B17*1450</f>
        <v>0</v>
      </c>
      <c r="D17" s="17">
        <v>8</v>
      </c>
      <c r="E17" s="17">
        <f>D17*1450</f>
        <v>11600</v>
      </c>
      <c r="F17" s="17">
        <v>0</v>
      </c>
      <c r="G17" s="17">
        <f>F17*1450</f>
        <v>0</v>
      </c>
      <c r="H17" s="17">
        <v>8</v>
      </c>
      <c r="I17" s="17">
        <f>H17*1450</f>
        <v>11600</v>
      </c>
      <c r="J17" s="17"/>
      <c r="K17" s="17">
        <f>J17*1450</f>
        <v>0</v>
      </c>
      <c r="L17" s="17">
        <v>0</v>
      </c>
      <c r="M17" s="17">
        <f>L17*1450</f>
        <v>0</v>
      </c>
      <c r="N17" s="17"/>
      <c r="O17" s="17">
        <f>N17*1450</f>
        <v>0</v>
      </c>
    </row>
    <row r="18" spans="1:15" ht="15.75">
      <c r="A18" s="17" t="s">
        <v>11</v>
      </c>
      <c r="B18" s="17">
        <v>16</v>
      </c>
      <c r="C18" s="17">
        <f>B18*2000</f>
        <v>32000</v>
      </c>
      <c r="D18" s="17">
        <v>8</v>
      </c>
      <c r="E18" s="17">
        <f>D18*2000</f>
        <v>16000</v>
      </c>
      <c r="F18" s="17">
        <v>24</v>
      </c>
      <c r="G18" s="17">
        <f>F18*2000</f>
        <v>48000</v>
      </c>
      <c r="H18" s="17">
        <v>14</v>
      </c>
      <c r="I18" s="17">
        <f>H18*2000</f>
        <v>28000</v>
      </c>
      <c r="J18" s="17"/>
      <c r="K18" s="17">
        <f>J18*2000</f>
        <v>0</v>
      </c>
      <c r="L18" s="17">
        <v>24</v>
      </c>
      <c r="M18" s="17">
        <f>L18*2000</f>
        <v>48000</v>
      </c>
      <c r="N18" s="17"/>
      <c r="O18" s="17">
        <f>N18*2000</f>
        <v>0</v>
      </c>
    </row>
    <row r="19" spans="1:15" ht="15.75">
      <c r="A19" s="17" t="s">
        <v>12</v>
      </c>
      <c r="B19" s="17"/>
      <c r="C19" s="17">
        <f>SUM(C16:C18)</f>
        <v>56000</v>
      </c>
      <c r="D19" s="17"/>
      <c r="E19" s="17">
        <f>SUM(E16:E18)</f>
        <v>47600</v>
      </c>
      <c r="F19" s="17"/>
      <c r="G19" s="17">
        <f>SUM(G16:G18)</f>
        <v>78000</v>
      </c>
      <c r="H19" s="17"/>
      <c r="I19" s="17">
        <f>SUM(I16:I18)</f>
        <v>67600</v>
      </c>
      <c r="J19" s="17"/>
      <c r="K19" s="17">
        <f>SUM(K16:K18)</f>
        <v>0</v>
      </c>
      <c r="L19" s="17"/>
      <c r="M19" s="17">
        <f>SUM(M16:M18)</f>
        <v>78000</v>
      </c>
      <c r="N19" s="17"/>
      <c r="O19" s="17">
        <f>SUM(O16:O18)</f>
        <v>0</v>
      </c>
    </row>
    <row r="20" spans="1:15" ht="15.75">
      <c r="A20" s="17" t="s">
        <v>13</v>
      </c>
      <c r="B20" s="17"/>
      <c r="C20" s="17">
        <f>C19*25%</f>
        <v>14000</v>
      </c>
      <c r="D20" s="17"/>
      <c r="E20" s="17">
        <f>E19*25%</f>
        <v>11900</v>
      </c>
      <c r="F20" s="17"/>
      <c r="G20" s="17">
        <f>G19*25%</f>
        <v>19500</v>
      </c>
      <c r="H20" s="17"/>
      <c r="I20" s="17">
        <f>I19*25%</f>
        <v>16900</v>
      </c>
      <c r="J20" s="17"/>
      <c r="K20" s="17">
        <f>K19*25%</f>
        <v>0</v>
      </c>
      <c r="L20" s="17"/>
      <c r="M20" s="17">
        <f>M19*25%</f>
        <v>19500</v>
      </c>
      <c r="N20" s="17"/>
      <c r="O20" s="17">
        <f>O19*25%</f>
        <v>0</v>
      </c>
    </row>
    <row r="21" spans="1:15" ht="15.75">
      <c r="A21" s="45" t="s">
        <v>14</v>
      </c>
      <c r="B21" s="45"/>
      <c r="C21" s="45">
        <v>10000</v>
      </c>
      <c r="D21" s="45"/>
      <c r="E21" s="45">
        <v>7000</v>
      </c>
      <c r="F21" s="45"/>
      <c r="G21" s="45">
        <v>7000</v>
      </c>
      <c r="H21" s="45"/>
      <c r="I21" s="45">
        <v>7000</v>
      </c>
      <c r="J21" s="45"/>
      <c r="K21" s="45"/>
      <c r="L21" s="45"/>
      <c r="M21" s="45">
        <v>7000</v>
      </c>
      <c r="N21" s="45"/>
      <c r="O21" s="45"/>
    </row>
    <row r="22" spans="1:16" ht="15.75">
      <c r="A22" s="28" t="s">
        <v>15</v>
      </c>
      <c r="B22" s="28"/>
      <c r="C22" s="28">
        <f>SUM(C19:C21)</f>
        <v>80000</v>
      </c>
      <c r="D22" s="28"/>
      <c r="E22" s="28">
        <f>SUM(E19:E21)</f>
        <v>66500</v>
      </c>
      <c r="F22" s="28"/>
      <c r="G22" s="28">
        <f>SUM(G19:G21)</f>
        <v>104500</v>
      </c>
      <c r="H22" s="28"/>
      <c r="I22" s="28">
        <f>SUM(I19:I21)</f>
        <v>91500</v>
      </c>
      <c r="J22" s="28"/>
      <c r="K22" s="28">
        <f>SUM(K19:K21)</f>
        <v>0</v>
      </c>
      <c r="L22" s="28"/>
      <c r="M22" s="28">
        <f>SUM(M19:M21)</f>
        <v>104500</v>
      </c>
      <c r="N22" s="28"/>
      <c r="O22" s="28">
        <f>SUM(O19:O21)</f>
        <v>0</v>
      </c>
      <c r="P22" s="49">
        <f>SUM(B22:O22)</f>
        <v>447000</v>
      </c>
    </row>
    <row r="23" spans="1:16" s="4" customFormat="1" ht="15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3"/>
    </row>
    <row r="24" spans="1:16" s="4" customFormat="1" ht="15.75">
      <c r="A24" s="50" t="s">
        <v>39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3"/>
    </row>
    <row r="25" spans="1:16" s="4" customFormat="1" ht="15.75">
      <c r="A25" s="19" t="s">
        <v>40</v>
      </c>
      <c r="B25" s="19"/>
      <c r="C25" s="19">
        <f>2*D53*1.5</f>
        <v>3900</v>
      </c>
      <c r="D25" s="19"/>
      <c r="E25" s="19">
        <f>2*D53</f>
        <v>2600</v>
      </c>
      <c r="F25" s="19"/>
      <c r="G25" s="19">
        <f>2*D53</f>
        <v>2600</v>
      </c>
      <c r="H25" s="19"/>
      <c r="I25" s="19">
        <f>2*D53</f>
        <v>2600</v>
      </c>
      <c r="J25" s="19"/>
      <c r="K25" s="19">
        <f>2*D53*1.5</f>
        <v>3900</v>
      </c>
      <c r="L25" s="19"/>
      <c r="M25" s="19"/>
      <c r="N25" s="19"/>
      <c r="O25" s="19">
        <f>2*D53*1.5</f>
        <v>3900</v>
      </c>
      <c r="P25" s="52">
        <f>SUM(B25:O25)</f>
        <v>19500</v>
      </c>
    </row>
    <row r="26" spans="1:16" s="4" customFormat="1" ht="15.75">
      <c r="A26" s="20"/>
      <c r="B26" s="20"/>
      <c r="C26" s="20">
        <f>C13+C22+C25</f>
        <v>171900</v>
      </c>
      <c r="D26" s="20"/>
      <c r="E26" s="20">
        <f aca="true" t="shared" si="0" ref="E26:O26">E13+E22+E25</f>
        <v>111850</v>
      </c>
      <c r="F26" s="20"/>
      <c r="G26" s="20">
        <f t="shared" si="0"/>
        <v>192100</v>
      </c>
      <c r="H26" s="20"/>
      <c r="I26" s="20">
        <f t="shared" si="0"/>
        <v>113600</v>
      </c>
      <c r="J26" s="20"/>
      <c r="K26" s="20">
        <f t="shared" si="0"/>
        <v>166900</v>
      </c>
      <c r="L26" s="20"/>
      <c r="M26" s="20">
        <f t="shared" si="0"/>
        <v>104500</v>
      </c>
      <c r="N26" s="20"/>
      <c r="O26" s="20">
        <f t="shared" si="0"/>
        <v>64525</v>
      </c>
      <c r="P26" s="49">
        <f>SUM(P13+P22+P25)</f>
        <v>925375</v>
      </c>
    </row>
    <row r="27" spans="1:15" s="8" customFormat="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4" customFormat="1" ht="15.75">
      <c r="A28" s="29" t="s">
        <v>36</v>
      </c>
      <c r="B28" s="5"/>
      <c r="C28" s="30"/>
      <c r="D28" s="5"/>
      <c r="E28" s="30"/>
      <c r="F28" s="5"/>
      <c r="G28" s="30"/>
      <c r="H28" s="5"/>
      <c r="I28" s="5"/>
      <c r="J28" s="31"/>
      <c r="K28" s="5"/>
      <c r="L28" s="5"/>
      <c r="M28" s="5"/>
      <c r="N28" s="31"/>
      <c r="O28" s="5"/>
    </row>
    <row r="29" spans="1:15" ht="15.75" customHeight="1">
      <c r="A29" s="17"/>
      <c r="B29" s="66" t="s">
        <v>2</v>
      </c>
      <c r="C29" s="67"/>
      <c r="D29" s="68" t="s">
        <v>1</v>
      </c>
      <c r="E29" s="69"/>
      <c r="F29" s="68" t="s">
        <v>0</v>
      </c>
      <c r="G29" s="68"/>
      <c r="H29" s="68" t="s">
        <v>32</v>
      </c>
      <c r="I29" s="68"/>
      <c r="J29" s="66" t="s">
        <v>3</v>
      </c>
      <c r="K29" s="66"/>
      <c r="L29" s="68" t="s">
        <v>4</v>
      </c>
      <c r="M29" s="68"/>
      <c r="N29" s="66" t="s">
        <v>5</v>
      </c>
      <c r="O29" s="66"/>
    </row>
    <row r="30" spans="1:15" ht="15.75" customHeight="1">
      <c r="A30" s="27" t="s">
        <v>6</v>
      </c>
      <c r="B30" s="18" t="s">
        <v>7</v>
      </c>
      <c r="C30" s="18" t="s">
        <v>37</v>
      </c>
      <c r="D30" s="17" t="s">
        <v>7</v>
      </c>
      <c r="E30" s="17" t="s">
        <v>8</v>
      </c>
      <c r="F30" s="17" t="s">
        <v>7</v>
      </c>
      <c r="G30" s="17" t="s">
        <v>8</v>
      </c>
      <c r="H30" s="17" t="s">
        <v>7</v>
      </c>
      <c r="I30" s="17" t="s">
        <v>8</v>
      </c>
      <c r="J30" s="18" t="s">
        <v>7</v>
      </c>
      <c r="K30" s="18" t="s">
        <v>37</v>
      </c>
      <c r="L30" s="17" t="s">
        <v>7</v>
      </c>
      <c r="M30" s="17" t="s">
        <v>8</v>
      </c>
      <c r="N30" s="18" t="s">
        <v>7</v>
      </c>
      <c r="O30" s="18" t="s">
        <v>37</v>
      </c>
    </row>
    <row r="31" spans="1:15" ht="15.75" customHeight="1">
      <c r="A31" s="17" t="s">
        <v>9</v>
      </c>
      <c r="B31" s="17">
        <v>8</v>
      </c>
      <c r="C31" s="17">
        <f>B31*E53*1.5</f>
        <v>37440</v>
      </c>
      <c r="D31" s="17">
        <v>4</v>
      </c>
      <c r="E31" s="17">
        <f>D31*E53</f>
        <v>12480</v>
      </c>
      <c r="F31" s="17">
        <v>12</v>
      </c>
      <c r="G31" s="17">
        <f>F31*E53</f>
        <v>37440</v>
      </c>
      <c r="H31" s="17">
        <v>2</v>
      </c>
      <c r="I31" s="17">
        <f>H31*E53</f>
        <v>6240</v>
      </c>
      <c r="J31" s="17">
        <v>16</v>
      </c>
      <c r="K31" s="17">
        <f>J31*E53*1.5</f>
        <v>74880</v>
      </c>
      <c r="L31" s="17"/>
      <c r="M31" s="17">
        <f>L31*2600</f>
        <v>0</v>
      </c>
      <c r="N31" s="17">
        <v>4</v>
      </c>
      <c r="O31" s="17">
        <f>N31*E53*1.5</f>
        <v>18720</v>
      </c>
    </row>
    <row r="32" spans="1:15" ht="15.75" customHeight="1">
      <c r="A32" s="17" t="s">
        <v>10</v>
      </c>
      <c r="B32" s="17">
        <v>0</v>
      </c>
      <c r="C32" s="17">
        <f>B32*E54</f>
        <v>0</v>
      </c>
      <c r="D32" s="17">
        <v>2</v>
      </c>
      <c r="E32" s="17">
        <f>D32*E54</f>
        <v>9360</v>
      </c>
      <c r="F32" s="17">
        <v>0</v>
      </c>
      <c r="G32" s="17">
        <f>F32*E54</f>
        <v>0</v>
      </c>
      <c r="H32" s="17"/>
      <c r="I32" s="17">
        <f>H32*3900</f>
        <v>0</v>
      </c>
      <c r="J32" s="17">
        <v>0</v>
      </c>
      <c r="K32" s="17">
        <f>J32*E54</f>
        <v>0</v>
      </c>
      <c r="L32" s="17"/>
      <c r="M32" s="17">
        <f>L32*3900</f>
        <v>0</v>
      </c>
      <c r="N32" s="17">
        <v>2</v>
      </c>
      <c r="O32" s="17">
        <f>N32*E54*1.5</f>
        <v>14040</v>
      </c>
    </row>
    <row r="33" spans="1:15" ht="15.75" customHeight="1">
      <c r="A33" s="17" t="s">
        <v>11</v>
      </c>
      <c r="B33" s="17">
        <v>4</v>
      </c>
      <c r="C33" s="17">
        <f>B33*E55*1.5</f>
        <v>37440</v>
      </c>
      <c r="D33" s="17">
        <v>2</v>
      </c>
      <c r="E33" s="17">
        <f>D33*E55</f>
        <v>12480</v>
      </c>
      <c r="F33" s="17">
        <v>6</v>
      </c>
      <c r="G33" s="17">
        <f>F33*E55</f>
        <v>37440</v>
      </c>
      <c r="H33" s="17">
        <v>2</v>
      </c>
      <c r="I33" s="17">
        <f>H33*E55</f>
        <v>12480</v>
      </c>
      <c r="J33" s="17">
        <v>8</v>
      </c>
      <c r="K33" s="17">
        <f>J33*E55*1.5</f>
        <v>74880</v>
      </c>
      <c r="L33" s="17"/>
      <c r="M33" s="17">
        <f>L33*5200</f>
        <v>0</v>
      </c>
      <c r="N33" s="17">
        <v>2</v>
      </c>
      <c r="O33" s="17">
        <f>N33*E55*1.5</f>
        <v>18720</v>
      </c>
    </row>
    <row r="34" spans="1:15" ht="15.75" customHeight="1">
      <c r="A34" s="17" t="s">
        <v>12</v>
      </c>
      <c r="B34" s="17"/>
      <c r="C34" s="17">
        <f>SUM(C31:C33)</f>
        <v>74880</v>
      </c>
      <c r="D34" s="17"/>
      <c r="E34" s="17">
        <f>SUM(E31:E33)</f>
        <v>34320</v>
      </c>
      <c r="F34" s="17"/>
      <c r="G34" s="17">
        <f>SUM(G31:G33)</f>
        <v>74880</v>
      </c>
      <c r="H34" s="17"/>
      <c r="I34" s="17">
        <f>SUM(I31:I33)</f>
        <v>18720</v>
      </c>
      <c r="J34" s="17"/>
      <c r="K34" s="17">
        <f>SUM(K31:K33)</f>
        <v>149760</v>
      </c>
      <c r="L34" s="17"/>
      <c r="M34" s="17">
        <f>SUM(M31:M33)</f>
        <v>0</v>
      </c>
      <c r="N34" s="17"/>
      <c r="O34" s="17">
        <f>SUM(O31:O33)</f>
        <v>51480</v>
      </c>
    </row>
    <row r="35" spans="1:15" ht="15.75" customHeight="1">
      <c r="A35" s="17" t="s">
        <v>13</v>
      </c>
      <c r="B35" s="17"/>
      <c r="C35" s="17">
        <f>C34*25%</f>
        <v>18720</v>
      </c>
      <c r="D35" s="17"/>
      <c r="E35" s="17">
        <f>E34*25%</f>
        <v>8580</v>
      </c>
      <c r="F35" s="17"/>
      <c r="G35" s="17">
        <f>G34*25%</f>
        <v>18720</v>
      </c>
      <c r="H35" s="17"/>
      <c r="I35" s="17">
        <f>I34*25%</f>
        <v>4680</v>
      </c>
      <c r="J35" s="17"/>
      <c r="K35" s="17">
        <f>K34*25%</f>
        <v>37440</v>
      </c>
      <c r="L35" s="17"/>
      <c r="M35" s="17">
        <f>M34*25%</f>
        <v>0</v>
      </c>
      <c r="N35" s="17"/>
      <c r="O35" s="17">
        <f>O34*25%</f>
        <v>12870</v>
      </c>
    </row>
    <row r="36" spans="1:15" ht="15.75" customHeight="1">
      <c r="A36" s="45" t="s">
        <v>14</v>
      </c>
      <c r="B36" s="45"/>
      <c r="C36" s="45">
        <v>7000</v>
      </c>
      <c r="D36" s="45"/>
      <c r="E36" s="45">
        <v>7000</v>
      </c>
      <c r="F36" s="45"/>
      <c r="G36" s="45">
        <v>7000</v>
      </c>
      <c r="H36" s="45"/>
      <c r="I36" s="45">
        <v>5000</v>
      </c>
      <c r="J36" s="45"/>
      <c r="K36" s="45">
        <v>7000</v>
      </c>
      <c r="L36" s="45"/>
      <c r="M36" s="45"/>
      <c r="N36" s="45"/>
      <c r="O36" s="45">
        <v>7000</v>
      </c>
    </row>
    <row r="37" spans="1:16" ht="15.75" customHeight="1">
      <c r="A37" s="27" t="s">
        <v>15</v>
      </c>
      <c r="B37" s="27"/>
      <c r="C37" s="27">
        <f>SUM(C34:C36)</f>
        <v>100600</v>
      </c>
      <c r="D37" s="27"/>
      <c r="E37" s="27">
        <f>SUM(E34:E36)</f>
        <v>49900</v>
      </c>
      <c r="F37" s="27"/>
      <c r="G37" s="27">
        <f>SUM(G34:G36)</f>
        <v>100600</v>
      </c>
      <c r="H37" s="27"/>
      <c r="I37" s="27">
        <f>SUM(I34:I36)</f>
        <v>28400</v>
      </c>
      <c r="J37" s="27"/>
      <c r="K37" s="27">
        <f>SUM(K34:K36)</f>
        <v>194200</v>
      </c>
      <c r="L37" s="27"/>
      <c r="M37" s="27">
        <f>SUM(M34:M36)</f>
        <v>0</v>
      </c>
      <c r="N37" s="27"/>
      <c r="O37" s="27">
        <f>SUM(O34:O36)</f>
        <v>71350</v>
      </c>
      <c r="P37" s="49">
        <f>SUM(B37:O37)</f>
        <v>545050</v>
      </c>
    </row>
    <row r="38" spans="1:15" ht="15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53"/>
    </row>
    <row r="39" spans="1:15" ht="15.75" customHeight="1">
      <c r="A39" s="28" t="s">
        <v>16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5.75" customHeight="1">
      <c r="A40" s="17" t="s">
        <v>9</v>
      </c>
      <c r="B40" s="17">
        <v>24</v>
      </c>
      <c r="C40" s="17">
        <f>B40*F53</f>
        <v>28800</v>
      </c>
      <c r="D40" s="17">
        <v>20</v>
      </c>
      <c r="E40" s="17">
        <f>D40*F53</f>
        <v>24000</v>
      </c>
      <c r="F40" s="17">
        <v>30</v>
      </c>
      <c r="G40" s="17">
        <f>F40*F53</f>
        <v>36000</v>
      </c>
      <c r="H40" s="17">
        <v>28</v>
      </c>
      <c r="I40" s="17">
        <f>H40*F53</f>
        <v>33600</v>
      </c>
      <c r="J40" s="17"/>
      <c r="K40" s="17">
        <f>J40*1000</f>
        <v>0</v>
      </c>
      <c r="L40" s="17">
        <v>30</v>
      </c>
      <c r="M40" s="17">
        <f>L40*F53</f>
        <v>36000</v>
      </c>
      <c r="N40" s="17"/>
      <c r="O40" s="17">
        <f>N40*1000</f>
        <v>0</v>
      </c>
    </row>
    <row r="41" spans="1:15" ht="15.75" customHeight="1">
      <c r="A41" s="17" t="s">
        <v>10</v>
      </c>
      <c r="B41" s="17">
        <v>0</v>
      </c>
      <c r="C41" s="17">
        <f>B41*F54</f>
        <v>0</v>
      </c>
      <c r="D41" s="17">
        <v>8</v>
      </c>
      <c r="E41" s="17">
        <f>D41*F54</f>
        <v>13920</v>
      </c>
      <c r="F41" s="17">
        <v>0</v>
      </c>
      <c r="G41" s="17">
        <f>F41*F54</f>
        <v>0</v>
      </c>
      <c r="H41" s="17">
        <v>8</v>
      </c>
      <c r="I41" s="17">
        <f>H41*F54</f>
        <v>13920</v>
      </c>
      <c r="J41" s="17"/>
      <c r="K41" s="17">
        <f>J41*1450</f>
        <v>0</v>
      </c>
      <c r="L41" s="17">
        <v>0</v>
      </c>
      <c r="M41" s="17">
        <f>L41*F54</f>
        <v>0</v>
      </c>
      <c r="N41" s="17"/>
      <c r="O41" s="17">
        <f>N41*1450</f>
        <v>0</v>
      </c>
    </row>
    <row r="42" spans="1:15" ht="15.75" customHeight="1">
      <c r="A42" s="17" t="s">
        <v>11</v>
      </c>
      <c r="B42" s="17">
        <v>16</v>
      </c>
      <c r="C42" s="17">
        <f>B42*F55</f>
        <v>38400</v>
      </c>
      <c r="D42" s="17">
        <v>8</v>
      </c>
      <c r="E42" s="17">
        <f>D42*F55</f>
        <v>19200</v>
      </c>
      <c r="F42" s="17">
        <v>24</v>
      </c>
      <c r="G42" s="17">
        <f>F42*F55</f>
        <v>57600</v>
      </c>
      <c r="H42" s="17">
        <v>14</v>
      </c>
      <c r="I42" s="17">
        <f>H42*F55</f>
        <v>33600</v>
      </c>
      <c r="J42" s="17"/>
      <c r="K42" s="17">
        <f>J42*2000</f>
        <v>0</v>
      </c>
      <c r="L42" s="17">
        <v>24</v>
      </c>
      <c r="M42" s="17">
        <f>L42*F55</f>
        <v>57600</v>
      </c>
      <c r="N42" s="17"/>
      <c r="O42" s="17">
        <f>N42*2000</f>
        <v>0</v>
      </c>
    </row>
    <row r="43" spans="1:15" ht="15.75" customHeight="1">
      <c r="A43" s="17" t="s">
        <v>12</v>
      </c>
      <c r="B43" s="17"/>
      <c r="C43" s="17">
        <f>SUM(C40:C42)</f>
        <v>67200</v>
      </c>
      <c r="D43" s="17"/>
      <c r="E43" s="17">
        <f>SUM(E40:E42)</f>
        <v>57120</v>
      </c>
      <c r="F43" s="17"/>
      <c r="G43" s="17">
        <f>SUM(G40:G42)</f>
        <v>93600</v>
      </c>
      <c r="H43" s="17"/>
      <c r="I43" s="17">
        <f>SUM(I40:I42)</f>
        <v>81120</v>
      </c>
      <c r="J43" s="17"/>
      <c r="K43" s="17">
        <f>SUM(K40:K42)</f>
        <v>0</v>
      </c>
      <c r="L43" s="17"/>
      <c r="M43" s="17">
        <f>SUM(M40:M42)</f>
        <v>93600</v>
      </c>
      <c r="N43" s="17"/>
      <c r="O43" s="17">
        <f>SUM(O40:O42)</f>
        <v>0</v>
      </c>
    </row>
    <row r="44" spans="1:15" ht="15.75" customHeight="1">
      <c r="A44" s="17" t="s">
        <v>13</v>
      </c>
      <c r="B44" s="17"/>
      <c r="C44" s="17">
        <f>C43*25%</f>
        <v>16800</v>
      </c>
      <c r="D44" s="17"/>
      <c r="E44" s="17">
        <f>E43*25%</f>
        <v>14280</v>
      </c>
      <c r="F44" s="17"/>
      <c r="G44" s="17">
        <f>G43*25%</f>
        <v>23400</v>
      </c>
      <c r="H44" s="17"/>
      <c r="I44" s="17">
        <f>I43*25%</f>
        <v>20280</v>
      </c>
      <c r="J44" s="17"/>
      <c r="K44" s="17">
        <f>K43*25%</f>
        <v>0</v>
      </c>
      <c r="L44" s="17"/>
      <c r="M44" s="17">
        <f>M43*25%</f>
        <v>23400</v>
      </c>
      <c r="N44" s="17"/>
      <c r="O44" s="17">
        <f>O43*25%</f>
        <v>0</v>
      </c>
    </row>
    <row r="45" spans="1:15" ht="15.75" customHeight="1">
      <c r="A45" s="45" t="s">
        <v>14</v>
      </c>
      <c r="B45" s="45"/>
      <c r="C45" s="45">
        <v>7000</v>
      </c>
      <c r="D45" s="45"/>
      <c r="E45" s="45">
        <v>7000</v>
      </c>
      <c r="F45" s="45"/>
      <c r="G45" s="45">
        <v>7000</v>
      </c>
      <c r="H45" s="45"/>
      <c r="I45" s="45">
        <v>7000</v>
      </c>
      <c r="J45" s="45"/>
      <c r="K45" s="45"/>
      <c r="L45" s="45"/>
      <c r="M45" s="45">
        <v>7000</v>
      </c>
      <c r="N45" s="45"/>
      <c r="O45" s="45"/>
    </row>
    <row r="46" spans="1:16" ht="15.75" customHeight="1">
      <c r="A46" s="28" t="s">
        <v>15</v>
      </c>
      <c r="B46" s="28"/>
      <c r="C46" s="28">
        <f>SUM(C43:C45)</f>
        <v>91000</v>
      </c>
      <c r="D46" s="28"/>
      <c r="E46" s="28">
        <f>SUM(E43:E45)</f>
        <v>78400</v>
      </c>
      <c r="F46" s="28"/>
      <c r="G46" s="28">
        <f>SUM(G43:G45)</f>
        <v>124000</v>
      </c>
      <c r="H46" s="28"/>
      <c r="I46" s="28">
        <f>SUM(I43:I45)</f>
        <v>108400</v>
      </c>
      <c r="J46" s="28"/>
      <c r="K46" s="28">
        <f>SUM(K43:K45)</f>
        <v>0</v>
      </c>
      <c r="L46" s="28"/>
      <c r="M46" s="28">
        <f>SUM(M43:M45)</f>
        <v>124000</v>
      </c>
      <c r="N46" s="28"/>
      <c r="O46" s="28">
        <f>SUM(O43:O45)</f>
        <v>0</v>
      </c>
      <c r="P46" s="54">
        <f>SUM(B46:O46)</f>
        <v>525800</v>
      </c>
    </row>
    <row r="47" spans="1:16" s="4" customFormat="1" ht="15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21"/>
    </row>
    <row r="48" spans="1:19" s="4" customFormat="1" ht="15.75" customHeight="1">
      <c r="A48" s="19" t="s">
        <v>39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56"/>
      <c r="Q48" s="5"/>
      <c r="R48" s="3"/>
      <c r="S48" s="3"/>
    </row>
    <row r="49" spans="1:18" s="4" customFormat="1" ht="15.75" customHeight="1">
      <c r="A49" s="19" t="s">
        <v>40</v>
      </c>
      <c r="B49" s="19"/>
      <c r="C49" s="19">
        <f>2*G53*1.5</f>
        <v>4680</v>
      </c>
      <c r="D49" s="19"/>
      <c r="E49" s="19">
        <f>2*G53</f>
        <v>3120</v>
      </c>
      <c r="F49" s="19"/>
      <c r="G49" s="19">
        <f>2*G53</f>
        <v>3120</v>
      </c>
      <c r="H49" s="19"/>
      <c r="I49" s="19">
        <f>2*G53</f>
        <v>3120</v>
      </c>
      <c r="J49" s="19"/>
      <c r="K49" s="19">
        <f>2*G53*1.5</f>
        <v>4680</v>
      </c>
      <c r="L49" s="19"/>
      <c r="M49" s="19"/>
      <c r="N49" s="19"/>
      <c r="O49" s="19">
        <f>2*G53*1.5</f>
        <v>4680</v>
      </c>
      <c r="P49" s="56">
        <f>SUM(B49:O49)</f>
        <v>23400</v>
      </c>
      <c r="Q49"/>
      <c r="R49" s="2" t="s">
        <v>20</v>
      </c>
    </row>
    <row r="50" spans="1:18" s="4" customFormat="1" ht="15.75" customHeight="1">
      <c r="A50" s="20"/>
      <c r="B50" s="20"/>
      <c r="C50" s="20">
        <f>C37+C46+C49</f>
        <v>196280</v>
      </c>
      <c r="D50" s="20"/>
      <c r="E50" s="20">
        <f>E37+E46+E49</f>
        <v>131420</v>
      </c>
      <c r="F50" s="20"/>
      <c r="G50" s="20">
        <f>G37+G46+G49</f>
        <v>227720</v>
      </c>
      <c r="H50" s="20"/>
      <c r="I50" s="20">
        <f>I37+I46+I49</f>
        <v>139920</v>
      </c>
      <c r="J50" s="20"/>
      <c r="K50" s="20">
        <f>K37+M46+K49</f>
        <v>322880</v>
      </c>
      <c r="L50" s="20"/>
      <c r="M50" s="20"/>
      <c r="N50" s="20"/>
      <c r="O50" s="20">
        <f>O37+O46+O49</f>
        <v>76030</v>
      </c>
      <c r="P50" s="56"/>
      <c r="R50" s="32"/>
    </row>
    <row r="51" spans="1:18" s="7" customFormat="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0" t="s">
        <v>48</v>
      </c>
      <c r="P51" s="56">
        <f>P37+P46+P49</f>
        <v>1094250</v>
      </c>
      <c r="Q51" s="1">
        <f>P51-P26</f>
        <v>168875</v>
      </c>
      <c r="R51" s="1">
        <f>Q51/P26*100</f>
        <v>18.249358368229096</v>
      </c>
    </row>
    <row r="52" spans="1:16" ht="15.75" customHeight="1">
      <c r="A52" s="20"/>
      <c r="B52" s="20" t="s">
        <v>21</v>
      </c>
      <c r="C52" s="20" t="s">
        <v>22</v>
      </c>
      <c r="D52" s="20" t="s">
        <v>39</v>
      </c>
      <c r="E52" s="20" t="s">
        <v>28</v>
      </c>
      <c r="F52" s="20" t="s">
        <v>29</v>
      </c>
      <c r="G52" s="20" t="s">
        <v>41</v>
      </c>
      <c r="H52" s="5"/>
      <c r="I52" s="5"/>
      <c r="J52" s="5"/>
      <c r="K52" s="5"/>
      <c r="L52" s="5"/>
      <c r="M52" s="5"/>
      <c r="N52" s="5"/>
      <c r="O52" s="5"/>
      <c r="P52" s="22"/>
    </row>
    <row r="53" spans="1:15" ht="15.75" customHeight="1">
      <c r="A53" s="57" t="s">
        <v>23</v>
      </c>
      <c r="B53" s="58">
        <v>2600</v>
      </c>
      <c r="C53" s="58">
        <v>1000</v>
      </c>
      <c r="D53" s="58">
        <v>1300</v>
      </c>
      <c r="E53" s="58">
        <f>B53*1.2</f>
        <v>3120</v>
      </c>
      <c r="F53" s="58">
        <f>C53*1.2</f>
        <v>1200</v>
      </c>
      <c r="G53" s="57">
        <f>D53*1.2</f>
        <v>1560</v>
      </c>
      <c r="H53" s="6"/>
      <c r="I53" s="6"/>
      <c r="J53" s="6"/>
      <c r="K53" s="6"/>
      <c r="L53" s="6"/>
      <c r="M53" s="6"/>
      <c r="N53" s="6"/>
      <c r="O53" s="6"/>
    </row>
    <row r="54" spans="1:7" ht="15.75" customHeight="1">
      <c r="A54" s="59" t="s">
        <v>24</v>
      </c>
      <c r="B54" s="60">
        <v>3900</v>
      </c>
      <c r="C54" s="60">
        <v>1450</v>
      </c>
      <c r="D54" s="60"/>
      <c r="E54" s="58">
        <f>B54*1.2</f>
        <v>4680</v>
      </c>
      <c r="F54" s="58">
        <f>C54*1.2</f>
        <v>1740</v>
      </c>
      <c r="G54" s="11"/>
    </row>
    <row r="55" spans="1:7" ht="15.75" customHeight="1">
      <c r="A55" s="59" t="s">
        <v>25</v>
      </c>
      <c r="B55" s="60">
        <v>5200</v>
      </c>
      <c r="C55" s="60">
        <v>2000</v>
      </c>
      <c r="D55" s="60"/>
      <c r="E55" s="58">
        <f>B55*1.2</f>
        <v>6240</v>
      </c>
      <c r="F55" s="58">
        <f>C55*1.2</f>
        <v>2400</v>
      </c>
      <c r="G55" s="11"/>
    </row>
    <row r="60" ht="15.75" customHeight="1">
      <c r="A60" s="15" t="s">
        <v>27</v>
      </c>
    </row>
    <row r="61" spans="1:16" ht="15.75" customHeight="1">
      <c r="A61" s="17"/>
      <c r="B61" s="66" t="s">
        <v>2</v>
      </c>
      <c r="C61" s="67"/>
      <c r="D61" s="68" t="s">
        <v>1</v>
      </c>
      <c r="E61" s="69"/>
      <c r="F61" s="68" t="s">
        <v>0</v>
      </c>
      <c r="G61" s="69"/>
      <c r="H61" s="68" t="s">
        <v>32</v>
      </c>
      <c r="I61" s="68"/>
      <c r="J61" s="66" t="s">
        <v>3</v>
      </c>
      <c r="K61" s="66"/>
      <c r="L61" s="68" t="s">
        <v>4</v>
      </c>
      <c r="M61" s="68"/>
      <c r="N61" s="66" t="s">
        <v>5</v>
      </c>
      <c r="O61" s="66"/>
      <c r="P61" s="24"/>
    </row>
    <row r="62" spans="1:16" ht="15.75" customHeight="1">
      <c r="A62" s="27" t="s">
        <v>6</v>
      </c>
      <c r="B62" s="18" t="s">
        <v>17</v>
      </c>
      <c r="C62" s="18" t="s">
        <v>37</v>
      </c>
      <c r="D62" s="17" t="s">
        <v>17</v>
      </c>
      <c r="E62" s="17" t="s">
        <v>8</v>
      </c>
      <c r="F62" s="17" t="s">
        <v>17</v>
      </c>
      <c r="G62" s="17" t="s">
        <v>8</v>
      </c>
      <c r="H62" s="17" t="s">
        <v>17</v>
      </c>
      <c r="I62" s="17" t="s">
        <v>8</v>
      </c>
      <c r="J62" s="18" t="s">
        <v>17</v>
      </c>
      <c r="K62" s="18" t="s">
        <v>37</v>
      </c>
      <c r="L62" s="17" t="s">
        <v>17</v>
      </c>
      <c r="M62" s="17" t="s">
        <v>8</v>
      </c>
      <c r="N62" s="18" t="s">
        <v>17</v>
      </c>
      <c r="O62" s="18" t="s">
        <v>37</v>
      </c>
      <c r="P62" s="24"/>
    </row>
    <row r="63" spans="1:16" ht="15.75" customHeight="1">
      <c r="A63" s="17" t="s">
        <v>18</v>
      </c>
      <c r="B63" s="33">
        <v>5</v>
      </c>
      <c r="C63" s="34">
        <f>B63*2*B81*1.5</f>
        <v>63000</v>
      </c>
      <c r="D63" s="33">
        <v>5</v>
      </c>
      <c r="E63" s="34">
        <f>D63*3*B81</f>
        <v>63000</v>
      </c>
      <c r="F63" s="33">
        <v>5</v>
      </c>
      <c r="G63" s="34">
        <f>F63*3*B81</f>
        <v>63000</v>
      </c>
      <c r="H63" s="33">
        <v>3</v>
      </c>
      <c r="I63" s="34">
        <f>H63*2*B81</f>
        <v>25200</v>
      </c>
      <c r="J63" s="33">
        <v>5</v>
      </c>
      <c r="K63" s="34">
        <f>J63*3*B81*1.5</f>
        <v>94500</v>
      </c>
      <c r="L63" s="33">
        <v>0</v>
      </c>
      <c r="M63" s="34">
        <f>L63*10000</f>
        <v>0</v>
      </c>
      <c r="N63" s="33">
        <v>5</v>
      </c>
      <c r="O63" s="34">
        <f>N63*3*B81*1.5</f>
        <v>94500</v>
      </c>
      <c r="P63" s="24"/>
    </row>
    <row r="64" spans="1:16" ht="15.75" customHeight="1">
      <c r="A64" s="17" t="s">
        <v>19</v>
      </c>
      <c r="B64" s="33">
        <v>5</v>
      </c>
      <c r="C64" s="33">
        <f>B64*2*B82*1.5</f>
        <v>43500</v>
      </c>
      <c r="D64" s="33">
        <v>2</v>
      </c>
      <c r="E64" s="33">
        <f>D64*3*B82</f>
        <v>17400</v>
      </c>
      <c r="F64" s="33">
        <v>2</v>
      </c>
      <c r="G64" s="33">
        <f>F64*3*B82</f>
        <v>17400</v>
      </c>
      <c r="H64" s="33">
        <v>2</v>
      </c>
      <c r="I64" s="33">
        <f>H64*2*B82</f>
        <v>11600</v>
      </c>
      <c r="J64" s="33">
        <v>4</v>
      </c>
      <c r="K64" s="33">
        <f>J64*3*B82*1.5</f>
        <v>52200</v>
      </c>
      <c r="L64" s="33">
        <v>0</v>
      </c>
      <c r="M64" s="33">
        <f>L64*6000</f>
        <v>0</v>
      </c>
      <c r="N64" s="33">
        <v>2</v>
      </c>
      <c r="O64" s="33">
        <f>N64*3*B82*1.5</f>
        <v>26100</v>
      </c>
      <c r="P64" s="24"/>
    </row>
    <row r="65" spans="1:16" ht="15.75">
      <c r="A65" s="17" t="s">
        <v>14</v>
      </c>
      <c r="B65" s="33"/>
      <c r="C65" s="33">
        <f>(B63+B64)*1000</f>
        <v>10000</v>
      </c>
      <c r="D65" s="33"/>
      <c r="E65" s="33">
        <f>(D63+D64)*1000</f>
        <v>7000</v>
      </c>
      <c r="F65" s="33"/>
      <c r="G65" s="33">
        <f>(F63+F64)*1000</f>
        <v>7000</v>
      </c>
      <c r="H65" s="33"/>
      <c r="I65" s="33">
        <f>(H63+H64)*1000</f>
        <v>5000</v>
      </c>
      <c r="J65" s="33"/>
      <c r="K65" s="33">
        <f>(J63+J64)*1000</f>
        <v>9000</v>
      </c>
      <c r="L65" s="33"/>
      <c r="M65" s="33">
        <f>(L63+L64)*1000</f>
        <v>0</v>
      </c>
      <c r="N65" s="33"/>
      <c r="O65" s="33">
        <f>(N63+N64)*1000</f>
        <v>7000</v>
      </c>
      <c r="P65" s="24"/>
    </row>
    <row r="66" spans="1:16" ht="15.75">
      <c r="A66" s="27" t="s">
        <v>15</v>
      </c>
      <c r="B66" s="35"/>
      <c r="C66" s="35">
        <f>SUM(C63:C65)</f>
        <v>116500</v>
      </c>
      <c r="D66" s="35"/>
      <c r="E66" s="35">
        <f>SUM(E63:E65)</f>
        <v>87400</v>
      </c>
      <c r="F66" s="35"/>
      <c r="G66" s="35">
        <f>SUM(G63:G65)</f>
        <v>87400</v>
      </c>
      <c r="H66" s="35"/>
      <c r="I66" s="35">
        <f>SUM(I63:I65)</f>
        <v>41800</v>
      </c>
      <c r="J66" s="35"/>
      <c r="K66" s="35">
        <f>SUM(K63:K65)</f>
        <v>155700</v>
      </c>
      <c r="L66" s="35"/>
      <c r="M66" s="35">
        <f>SUM(M63:M65)</f>
        <v>0</v>
      </c>
      <c r="N66" s="35"/>
      <c r="O66" s="35">
        <f>SUM(O63:O65)</f>
        <v>127600</v>
      </c>
      <c r="P66" s="61">
        <f>SUM(B66:O66)</f>
        <v>616400</v>
      </c>
    </row>
    <row r="67" spans="1:16" ht="15.75">
      <c r="A67" s="17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24"/>
    </row>
    <row r="68" spans="1:16" ht="15.75">
      <c r="A68" s="28" t="s">
        <v>16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24"/>
    </row>
    <row r="69" spans="1:16" ht="15.75">
      <c r="A69" s="17" t="s">
        <v>18</v>
      </c>
      <c r="B69" s="33">
        <v>5</v>
      </c>
      <c r="C69" s="34">
        <f>B69*2*B81</f>
        <v>42000</v>
      </c>
      <c r="D69" s="33">
        <v>5</v>
      </c>
      <c r="E69" s="34">
        <f>D69*3*B81</f>
        <v>63000</v>
      </c>
      <c r="F69" s="33">
        <v>5</v>
      </c>
      <c r="G69" s="34">
        <f>F69*3*B81</f>
        <v>63000</v>
      </c>
      <c r="H69" s="33">
        <v>5</v>
      </c>
      <c r="I69" s="34">
        <f>H69*3*B81</f>
        <v>63000</v>
      </c>
      <c r="J69" s="33">
        <v>0</v>
      </c>
      <c r="K69" s="34">
        <f>J69*10000</f>
        <v>0</v>
      </c>
      <c r="L69" s="33">
        <v>5</v>
      </c>
      <c r="M69" s="34">
        <f>L69*3*B81</f>
        <v>63000</v>
      </c>
      <c r="N69" s="33">
        <v>0</v>
      </c>
      <c r="O69" s="34">
        <f>N69*10000</f>
        <v>0</v>
      </c>
      <c r="P69" s="24"/>
    </row>
    <row r="70" spans="1:16" ht="15.75">
      <c r="A70" s="17" t="s">
        <v>19</v>
      </c>
      <c r="B70" s="33">
        <v>5</v>
      </c>
      <c r="C70" s="33">
        <f>B70*2*B82</f>
        <v>29000</v>
      </c>
      <c r="D70" s="33">
        <v>2</v>
      </c>
      <c r="E70" s="33">
        <f>D70*3*B82</f>
        <v>17400</v>
      </c>
      <c r="F70" s="33">
        <v>2</v>
      </c>
      <c r="G70" s="33">
        <f>F70*3*B82</f>
        <v>17400</v>
      </c>
      <c r="H70" s="33">
        <v>4</v>
      </c>
      <c r="I70" s="33">
        <f>H70*3*B82</f>
        <v>34800</v>
      </c>
      <c r="J70" s="33">
        <v>0</v>
      </c>
      <c r="K70" s="33">
        <f>J70*6000</f>
        <v>0</v>
      </c>
      <c r="L70" s="33">
        <v>2</v>
      </c>
      <c r="M70" s="33">
        <f>L70*3*B82</f>
        <v>17400</v>
      </c>
      <c r="N70" s="33">
        <v>0</v>
      </c>
      <c r="O70" s="33">
        <f>N70*6000</f>
        <v>0</v>
      </c>
      <c r="P70" s="24"/>
    </row>
    <row r="71" spans="1:17" s="8" customFormat="1" ht="15.75">
      <c r="A71" s="17" t="s">
        <v>14</v>
      </c>
      <c r="B71" s="33"/>
      <c r="C71" s="33">
        <f>(B69+B70)*1000</f>
        <v>10000</v>
      </c>
      <c r="D71" s="33"/>
      <c r="E71" s="33">
        <f>(D69+D70)*1000</f>
        <v>7000</v>
      </c>
      <c r="F71" s="33"/>
      <c r="G71" s="33">
        <f>(F69+F70)*1000</f>
        <v>7000</v>
      </c>
      <c r="H71" s="33"/>
      <c r="I71" s="33">
        <f>(H69+H70)*1000</f>
        <v>9000</v>
      </c>
      <c r="J71" s="33"/>
      <c r="K71" s="33">
        <f>(J69+J70)*1000</f>
        <v>0</v>
      </c>
      <c r="L71" s="33"/>
      <c r="M71" s="33">
        <f>(L69+L70)*1000</f>
        <v>7000</v>
      </c>
      <c r="N71" s="33"/>
      <c r="O71" s="33">
        <f>(N69+N70)*1000</f>
        <v>0</v>
      </c>
      <c r="P71" s="25"/>
      <c r="Q71" s="5"/>
    </row>
    <row r="72" spans="1:17" s="8" customFormat="1" ht="15.75">
      <c r="A72" s="28" t="s">
        <v>15</v>
      </c>
      <c r="B72" s="36"/>
      <c r="C72" s="36">
        <f>SUM(C69:C71)</f>
        <v>81000</v>
      </c>
      <c r="D72" s="36"/>
      <c r="E72" s="36">
        <f>SUM(E69:E71)</f>
        <v>87400</v>
      </c>
      <c r="F72" s="36"/>
      <c r="G72" s="36">
        <f>SUM(G69:G71)</f>
        <v>87400</v>
      </c>
      <c r="H72" s="36"/>
      <c r="I72" s="36">
        <f>SUM(I69:I71)</f>
        <v>106800</v>
      </c>
      <c r="J72" s="36"/>
      <c r="K72" s="36">
        <f>SUM(K69:K71)</f>
        <v>0</v>
      </c>
      <c r="L72" s="36"/>
      <c r="M72" s="36">
        <f>SUM(M69:M71)</f>
        <v>87400</v>
      </c>
      <c r="N72" s="36"/>
      <c r="O72" s="36">
        <f>SUM(O69:O71)</f>
        <v>0</v>
      </c>
      <c r="P72" s="61">
        <f>SUM(B72:O72)</f>
        <v>450000</v>
      </c>
      <c r="Q72" s="5"/>
    </row>
    <row r="73" spans="1:16" s="8" customFormat="1" ht="15.75">
      <c r="A73" s="2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26"/>
    </row>
    <row r="74" spans="1:16" s="8" customFormat="1" ht="15.75">
      <c r="A74" s="19" t="s">
        <v>39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6"/>
    </row>
    <row r="75" spans="1:16" s="8" customFormat="1" ht="15.75">
      <c r="A75" s="17" t="s">
        <v>18</v>
      </c>
      <c r="B75" s="37">
        <v>1</v>
      </c>
      <c r="C75" s="37">
        <f>C81*1.5</f>
        <v>4500</v>
      </c>
      <c r="D75" s="37">
        <v>1</v>
      </c>
      <c r="E75" s="37">
        <f>D75*C81</f>
        <v>3000</v>
      </c>
      <c r="F75" s="37">
        <v>1</v>
      </c>
      <c r="G75" s="37">
        <f>F75*C81</f>
        <v>3000</v>
      </c>
      <c r="H75" s="37">
        <v>1</v>
      </c>
      <c r="I75" s="37">
        <f>H75*C81</f>
        <v>3000</v>
      </c>
      <c r="J75" s="37">
        <v>1</v>
      </c>
      <c r="K75" s="37">
        <f>J75*C81*1.5</f>
        <v>4500</v>
      </c>
      <c r="L75" s="37"/>
      <c r="M75" s="37"/>
      <c r="N75" s="37">
        <v>1</v>
      </c>
      <c r="O75" s="37">
        <f>N75*C81*1.5</f>
        <v>4500</v>
      </c>
      <c r="P75" s="26"/>
    </row>
    <row r="76" spans="1:16" s="8" customFormat="1" ht="15.75">
      <c r="A76" s="17" t="s">
        <v>19</v>
      </c>
      <c r="B76" s="37">
        <v>1</v>
      </c>
      <c r="C76" s="37">
        <f>B76*C82</f>
        <v>2000</v>
      </c>
      <c r="D76" s="37">
        <v>1</v>
      </c>
      <c r="E76" s="37">
        <f>D76*C82</f>
        <v>2000</v>
      </c>
      <c r="F76" s="37">
        <v>1</v>
      </c>
      <c r="G76" s="37">
        <f>F76*C82</f>
        <v>2000</v>
      </c>
      <c r="H76" s="37">
        <v>1</v>
      </c>
      <c r="I76" s="37">
        <f>H76*C82</f>
        <v>2000</v>
      </c>
      <c r="J76" s="37">
        <v>1</v>
      </c>
      <c r="K76" s="37">
        <f>J76*C82</f>
        <v>2000</v>
      </c>
      <c r="L76" s="37"/>
      <c r="M76" s="37"/>
      <c r="N76" s="37">
        <v>1</v>
      </c>
      <c r="O76" s="63">
        <f>N76*C82</f>
        <v>2000</v>
      </c>
      <c r="P76" s="26"/>
    </row>
    <row r="77" spans="1:18" s="8" customFormat="1" ht="15.75">
      <c r="A77" s="19" t="s">
        <v>15</v>
      </c>
      <c r="B77" s="38"/>
      <c r="C77" s="38">
        <f>C75+C76</f>
        <v>6500</v>
      </c>
      <c r="D77" s="38"/>
      <c r="E77" s="38">
        <f>E76+E75</f>
        <v>5000</v>
      </c>
      <c r="F77" s="38"/>
      <c r="G77" s="38">
        <f>G76+G75</f>
        <v>5000</v>
      </c>
      <c r="H77" s="38"/>
      <c r="I77" s="38">
        <f aca="true" t="shared" si="1" ref="I77:O77">I76+I75</f>
        <v>5000</v>
      </c>
      <c r="J77" s="38"/>
      <c r="K77" s="38">
        <f t="shared" si="1"/>
        <v>6500</v>
      </c>
      <c r="L77" s="38"/>
      <c r="M77" s="38"/>
      <c r="N77" s="62"/>
      <c r="O77" s="38">
        <f t="shared" si="1"/>
        <v>6500</v>
      </c>
      <c r="P77" s="64">
        <f>SUM(B77:O77)</f>
        <v>34500</v>
      </c>
      <c r="R77" s="2" t="s">
        <v>20</v>
      </c>
    </row>
    <row r="78" spans="1:18" s="8" customFormat="1" ht="15.75">
      <c r="A78" s="23"/>
      <c r="B78" s="5"/>
      <c r="C78" s="5">
        <f>C66+C72+C77</f>
        <v>204000</v>
      </c>
      <c r="D78" s="5"/>
      <c r="E78" s="5">
        <f>E66+E72+E77</f>
        <v>179800</v>
      </c>
      <c r="F78" s="5"/>
      <c r="G78" s="5">
        <f>G66+G72+G77</f>
        <v>179800</v>
      </c>
      <c r="H78" s="5"/>
      <c r="I78" s="5">
        <f>I66+I72+I77</f>
        <v>153600</v>
      </c>
      <c r="J78" s="5"/>
      <c r="K78" s="5">
        <f>K66+M72+K77</f>
        <v>249600</v>
      </c>
      <c r="L78" s="5"/>
      <c r="M78" s="5"/>
      <c r="N78" s="5"/>
      <c r="O78" s="20">
        <f>O66+O72+O77</f>
        <v>134100</v>
      </c>
      <c r="P78" s="64">
        <f>P66+P72+P77</f>
        <v>1100900</v>
      </c>
      <c r="Q78" s="8">
        <f>P78-P26</f>
        <v>175525</v>
      </c>
      <c r="R78" s="8">
        <f>Q78/P26*100</f>
        <v>18.967985951641225</v>
      </c>
    </row>
    <row r="79" spans="1:16" s="8" customFormat="1" ht="15.75">
      <c r="A79" s="2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8" customFormat="1" ht="15.75">
      <c r="A80" s="39"/>
      <c r="B80" s="20" t="s">
        <v>43</v>
      </c>
      <c r="C80" s="20" t="s">
        <v>39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7" s="8" customFormat="1" ht="15.75">
      <c r="A81" s="20" t="s">
        <v>30</v>
      </c>
      <c r="B81" s="20">
        <v>4200</v>
      </c>
      <c r="C81" s="20">
        <v>3000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s="8" customFormat="1" ht="15.75">
      <c r="A82" s="20" t="s">
        <v>31</v>
      </c>
      <c r="B82" s="20">
        <v>2900</v>
      </c>
      <c r="C82" s="20">
        <v>2000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s="8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9" s="8" customFormat="1" ht="15.75">
      <c r="A84" s="18"/>
      <c r="B84" s="70" t="s">
        <v>38</v>
      </c>
      <c r="C84" s="7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S84" s="9"/>
    </row>
    <row r="85" spans="1:19" s="8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0"/>
      <c r="S85" s="10"/>
    </row>
    <row r="86" spans="1:15" ht="15.75" customHeight="1">
      <c r="A86" s="4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.75" customHeight="1">
      <c r="A87" s="41" t="s">
        <v>45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3" ht="15.75" customHeight="1">
      <c r="A88" s="42" t="s">
        <v>46</v>
      </c>
      <c r="B88" s="43"/>
      <c r="C88" s="42" t="s">
        <v>47</v>
      </c>
    </row>
    <row r="89" ht="15.75" customHeight="1">
      <c r="A89" s="44">
        <v>44074</v>
      </c>
    </row>
  </sheetData>
  <sheetProtection/>
  <mergeCells count="23">
    <mergeCell ref="B84:C84"/>
    <mergeCell ref="L5:M5"/>
    <mergeCell ref="J5:K5"/>
    <mergeCell ref="H5:I5"/>
    <mergeCell ref="N5:O5"/>
    <mergeCell ref="H29:I29"/>
    <mergeCell ref="L29:M29"/>
    <mergeCell ref="J29:K29"/>
    <mergeCell ref="N29:O29"/>
    <mergeCell ref="D61:E61"/>
    <mergeCell ref="B61:C61"/>
    <mergeCell ref="F5:G5"/>
    <mergeCell ref="D5:E5"/>
    <mergeCell ref="B5:C5"/>
    <mergeCell ref="F29:G29"/>
    <mergeCell ref="D29:E29"/>
    <mergeCell ref="B1:N1"/>
    <mergeCell ref="B29:C29"/>
    <mergeCell ref="L61:M61"/>
    <mergeCell ref="N61:O61"/>
    <mergeCell ref="H61:I61"/>
    <mergeCell ref="J61:K61"/>
    <mergeCell ref="F61:G61"/>
  </mergeCells>
  <printOptions/>
  <pageMargins left="0.7" right="0.7" top="0.75" bottom="0.75" header="0.3" footer="0.3"/>
  <pageSetup fitToHeight="1" fitToWidth="1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0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J6" sqref="J6"/>
    </sheetView>
  </sheetViews>
  <sheetFormatPr defaultColWidth="11.421875" defaultRowHeight="12.75"/>
  <cols>
    <col min="1" max="1" width="14.140625" style="0" bestFit="1" customWidth="1"/>
    <col min="2" max="26" width="11.421875" style="0" customWidth="1"/>
    <col min="27" max="27" width="15.140625" style="0" customWidth="1"/>
  </cols>
  <sheetData>
    <row r="2" spans="1:27" ht="15.75">
      <c r="A2" s="16"/>
      <c r="B2" s="68" t="s">
        <v>2</v>
      </c>
      <c r="C2" s="68"/>
      <c r="D2" s="68"/>
      <c r="E2" s="68"/>
      <c r="F2" s="68" t="s">
        <v>1</v>
      </c>
      <c r="G2" s="68"/>
      <c r="H2" s="68"/>
      <c r="I2" s="69"/>
      <c r="J2" s="68" t="s">
        <v>0</v>
      </c>
      <c r="K2" s="68"/>
      <c r="L2" s="68"/>
      <c r="M2" s="68"/>
      <c r="N2" s="68" t="s">
        <v>32</v>
      </c>
      <c r="O2" s="68"/>
      <c r="P2" s="68"/>
      <c r="Q2" s="68"/>
      <c r="R2" s="68" t="s">
        <v>42</v>
      </c>
      <c r="S2" s="68"/>
      <c r="T2" s="68"/>
      <c r="U2" s="68"/>
      <c r="V2" s="68" t="s">
        <v>5</v>
      </c>
      <c r="W2" s="68"/>
      <c r="X2" s="68"/>
      <c r="Y2" s="68"/>
      <c r="Z2" s="14" t="s">
        <v>15</v>
      </c>
      <c r="AA2" s="14" t="s">
        <v>20</v>
      </c>
    </row>
    <row r="3" spans="1:27" ht="12.75">
      <c r="A3" s="11"/>
      <c r="B3" s="11" t="s">
        <v>6</v>
      </c>
      <c r="C3" s="11" t="s">
        <v>33</v>
      </c>
      <c r="D3" s="11" t="s">
        <v>39</v>
      </c>
      <c r="E3" s="11" t="s">
        <v>15</v>
      </c>
      <c r="F3" s="11" t="s">
        <v>6</v>
      </c>
      <c r="G3" s="11" t="s">
        <v>33</v>
      </c>
      <c r="H3" s="11" t="s">
        <v>39</v>
      </c>
      <c r="I3" s="11" t="s">
        <v>15</v>
      </c>
      <c r="J3" s="11" t="s">
        <v>6</v>
      </c>
      <c r="K3" s="11" t="s">
        <v>33</v>
      </c>
      <c r="L3" s="11" t="s">
        <v>39</v>
      </c>
      <c r="M3" s="11" t="s">
        <v>15</v>
      </c>
      <c r="N3" s="11" t="s">
        <v>6</v>
      </c>
      <c r="O3" s="11" t="s">
        <v>33</v>
      </c>
      <c r="P3" s="11" t="s">
        <v>39</v>
      </c>
      <c r="Q3" s="11" t="s">
        <v>15</v>
      </c>
      <c r="R3" s="11" t="s">
        <v>6</v>
      </c>
      <c r="S3" s="11" t="s">
        <v>33</v>
      </c>
      <c r="T3" s="11" t="s">
        <v>39</v>
      </c>
      <c r="U3" s="11" t="s">
        <v>15</v>
      </c>
      <c r="V3" s="11" t="s">
        <v>6</v>
      </c>
      <c r="W3" s="11" t="s">
        <v>33</v>
      </c>
      <c r="X3" s="11" t="s">
        <v>39</v>
      </c>
      <c r="Y3" s="11" t="s">
        <v>15</v>
      </c>
      <c r="Z3" s="11"/>
      <c r="AA3" s="11"/>
    </row>
    <row r="4" spans="1:27" ht="12.75">
      <c r="A4" s="11" t="s">
        <v>26</v>
      </c>
      <c r="B4" s="12">
        <f>Расчет!C13</f>
        <v>88000</v>
      </c>
      <c r="C4" s="11">
        <f>Расчет!C22</f>
        <v>80000</v>
      </c>
      <c r="D4" s="11">
        <f>Расчет!C25</f>
        <v>3900</v>
      </c>
      <c r="E4" s="11">
        <f>B4+C4+D4</f>
        <v>171900</v>
      </c>
      <c r="F4" s="11">
        <f>Расчет!E13</f>
        <v>42750</v>
      </c>
      <c r="G4" s="11">
        <f>Расчет!E22</f>
        <v>66500</v>
      </c>
      <c r="H4" s="11">
        <f>Расчет!E25</f>
        <v>2600</v>
      </c>
      <c r="I4" s="11">
        <f>F4+G4+H4</f>
        <v>111850</v>
      </c>
      <c r="J4" s="11">
        <f>Расчет!G13</f>
        <v>85000</v>
      </c>
      <c r="K4" s="11">
        <f>Расчет!G22</f>
        <v>104500</v>
      </c>
      <c r="L4" s="11">
        <f>Расчет!G25</f>
        <v>2600</v>
      </c>
      <c r="M4" s="11">
        <f>J4+K4+L4</f>
        <v>192100</v>
      </c>
      <c r="N4" s="11">
        <f>Расчет!I13</f>
        <v>19500</v>
      </c>
      <c r="O4" s="11">
        <f>Расчет!I22</f>
        <v>91500</v>
      </c>
      <c r="P4" s="11">
        <f>Расчет!I25</f>
        <v>2600</v>
      </c>
      <c r="Q4" s="11">
        <f>N4+O4+P4</f>
        <v>113600</v>
      </c>
      <c r="R4" s="11">
        <f>Расчет!K13</f>
        <v>163000</v>
      </c>
      <c r="S4" s="11">
        <f>Расчет!M22</f>
        <v>104500</v>
      </c>
      <c r="T4" s="11">
        <f>Расчет!K25</f>
        <v>3900</v>
      </c>
      <c r="U4" s="11">
        <f>R4+S4+T4</f>
        <v>271400</v>
      </c>
      <c r="V4" s="11">
        <f>Расчет!O13</f>
        <v>60625</v>
      </c>
      <c r="W4" s="11"/>
      <c r="X4" s="11">
        <f>Расчет!O25</f>
        <v>3900</v>
      </c>
      <c r="Y4" s="11">
        <f>V4+W4+X4</f>
        <v>64525</v>
      </c>
      <c r="Z4" s="11">
        <f>E4+I4+M4+Q4+U4+Y4</f>
        <v>925375</v>
      </c>
      <c r="AA4" s="11">
        <v>0</v>
      </c>
    </row>
    <row r="5" spans="1:27" ht="12.75">
      <c r="A5" s="11" t="s">
        <v>34</v>
      </c>
      <c r="B5" s="11">
        <f>Расчет!C37</f>
        <v>100600</v>
      </c>
      <c r="C5" s="11">
        <f>Расчет!C46</f>
        <v>91000</v>
      </c>
      <c r="D5" s="11">
        <f>Расчет!C49</f>
        <v>4680</v>
      </c>
      <c r="E5" s="11">
        <f>B5+C5+D5</f>
        <v>196280</v>
      </c>
      <c r="F5" s="11">
        <f>Расчет!E37</f>
        <v>49900</v>
      </c>
      <c r="G5" s="11">
        <f>Расчет!E46</f>
        <v>78400</v>
      </c>
      <c r="H5" s="11">
        <f>Расчет!E49</f>
        <v>3120</v>
      </c>
      <c r="I5" s="11">
        <f>F5+G5+H5</f>
        <v>131420</v>
      </c>
      <c r="J5" s="11">
        <f>Расчет!G37</f>
        <v>100600</v>
      </c>
      <c r="K5" s="11">
        <f>Расчет!G46</f>
        <v>124000</v>
      </c>
      <c r="L5" s="11">
        <f>Расчет!G49</f>
        <v>3120</v>
      </c>
      <c r="M5" s="11">
        <f>J5+K5+L5</f>
        <v>227720</v>
      </c>
      <c r="N5" s="11">
        <f>Расчет!I37</f>
        <v>28400</v>
      </c>
      <c r="O5" s="11">
        <f>Расчет!I46</f>
        <v>108400</v>
      </c>
      <c r="P5" s="11">
        <f>Расчет!I49</f>
        <v>3120</v>
      </c>
      <c r="Q5" s="11">
        <f>N5+O5+P5</f>
        <v>139920</v>
      </c>
      <c r="R5" s="11">
        <f>Расчет!K37</f>
        <v>194200</v>
      </c>
      <c r="S5" s="11">
        <f>Расчет!M46</f>
        <v>124000</v>
      </c>
      <c r="T5" s="11">
        <f>Расчет!K49</f>
        <v>4680</v>
      </c>
      <c r="U5" s="11">
        <f>R5+S5+T5</f>
        <v>322880</v>
      </c>
      <c r="V5" s="11">
        <f>Расчет!O37</f>
        <v>71350</v>
      </c>
      <c r="W5" s="11"/>
      <c r="X5" s="11">
        <f>Расчет!O49</f>
        <v>4680</v>
      </c>
      <c r="Y5" s="11">
        <f>V5+W5+X5</f>
        <v>76030</v>
      </c>
      <c r="Z5" s="11">
        <f>E5+I5+M5+Q5+U5+Y5</f>
        <v>1094250</v>
      </c>
      <c r="AA5" s="11">
        <f>(Z5-Z4)/Z4*100</f>
        <v>18.249358368229096</v>
      </c>
    </row>
    <row r="6" spans="1:27" ht="12.75">
      <c r="A6" s="11" t="s">
        <v>27</v>
      </c>
      <c r="B6" s="11">
        <f>Расчет!C66</f>
        <v>116500</v>
      </c>
      <c r="C6" s="11">
        <f>Расчет!C72</f>
        <v>81000</v>
      </c>
      <c r="D6" s="11">
        <f>Расчет!C77</f>
        <v>6500</v>
      </c>
      <c r="E6" s="11">
        <f>B6+C6+D6</f>
        <v>204000</v>
      </c>
      <c r="F6" s="11">
        <f>Расчет!E66</f>
        <v>87400</v>
      </c>
      <c r="G6" s="11">
        <f>Расчет!E72</f>
        <v>87400</v>
      </c>
      <c r="H6" s="11">
        <f>Расчет!E77</f>
        <v>5000</v>
      </c>
      <c r="I6" s="11">
        <f>F6+G6+H6</f>
        <v>179800</v>
      </c>
      <c r="J6" s="11">
        <f>Расчет!G66</f>
        <v>87400</v>
      </c>
      <c r="K6" s="11">
        <f>Расчет!G72</f>
        <v>87400</v>
      </c>
      <c r="L6" s="11">
        <f>Расчет!G77</f>
        <v>5000</v>
      </c>
      <c r="M6" s="11">
        <f>J6+K6+L6</f>
        <v>179800</v>
      </c>
      <c r="N6" s="11">
        <f>Расчет!I66</f>
        <v>41800</v>
      </c>
      <c r="O6" s="11">
        <f>Расчет!I72</f>
        <v>106800</v>
      </c>
      <c r="P6" s="11">
        <f>Расчет!I77</f>
        <v>5000</v>
      </c>
      <c r="Q6" s="11">
        <f>N6+O6+P6</f>
        <v>153600</v>
      </c>
      <c r="R6" s="11">
        <f>Расчет!K66</f>
        <v>155700</v>
      </c>
      <c r="S6" s="11">
        <f>Расчет!M72</f>
        <v>87400</v>
      </c>
      <c r="T6" s="11">
        <f>Расчет!K77</f>
        <v>6500</v>
      </c>
      <c r="U6" s="11">
        <f>R6+S6+T6</f>
        <v>249600</v>
      </c>
      <c r="V6" s="11">
        <f>Расчет!O66</f>
        <v>127600</v>
      </c>
      <c r="W6" s="11"/>
      <c r="X6" s="11">
        <f>Расчет!O77</f>
        <v>6500</v>
      </c>
      <c r="Y6" s="11">
        <f>V6+W6+X6</f>
        <v>134100</v>
      </c>
      <c r="Z6" s="11">
        <f>E6+I6+M6+Q6+U6+Y6</f>
        <v>1100900</v>
      </c>
      <c r="AA6" s="11">
        <f>(Z6-Z4)/Z4*100</f>
        <v>18.967985951641225</v>
      </c>
    </row>
    <row r="20" ht="12.75">
      <c r="AA20" s="13" t="s">
        <v>35</v>
      </c>
    </row>
  </sheetData>
  <sheetProtection/>
  <mergeCells count="6">
    <mergeCell ref="V2:Y2"/>
    <mergeCell ref="B2:E2"/>
    <mergeCell ref="F2:I2"/>
    <mergeCell ref="J2:M2"/>
    <mergeCell ref="N2:Q2"/>
    <mergeCell ref="R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extreme</cp:lastModifiedBy>
  <dcterms:created xsi:type="dcterms:W3CDTF">2020-07-29T10:04:19Z</dcterms:created>
  <dcterms:modified xsi:type="dcterms:W3CDTF">2020-09-12T05:45:14Z</dcterms:modified>
  <cp:category/>
  <cp:version/>
  <cp:contentType/>
  <cp:contentStatus/>
</cp:coreProperties>
</file>